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alkulator" sheetId="1" r:id="rId4"/>
    <sheet state="visible" name="CF" sheetId="2" r:id="rId5"/>
    <sheet state="visible" name="StressTest" sheetId="3" r:id="rId6"/>
  </sheets>
  <definedNames/>
  <calcPr/>
</workbook>
</file>

<file path=xl/sharedStrings.xml><?xml version="1.0" encoding="utf-8"?>
<sst xmlns="http://schemas.openxmlformats.org/spreadsheetml/2006/main" count="73" uniqueCount="56">
  <si>
    <t>Garagen Investment – Kalkulator (Cap Rate / CoC / IRR)</t>
  </si>
  <si>
    <t>WEJŚCIA (Inputs)</t>
  </si>
  <si>
    <t>Kaufpreis / Cena zakupu</t>
  </si>
  <si>
    <t>€</t>
  </si>
  <si>
    <t>Miete (monatlich) / Czynsz [m-c]</t>
  </si>
  <si>
    <t>Leerstand / Pustostan</t>
  </si>
  <si>
    <t>%</t>
  </si>
  <si>
    <t>OPEX (p.a.) / Koszty roczne</t>
  </si>
  <si>
    <t>Fremdkapital-Quote / Udział długu</t>
  </si>
  <si>
    <t>Zinssatz FK (p.a.) / Oprocentowanie</t>
  </si>
  <si>
    <t>Tilgung (p.a.) / Spłata kapitału</t>
  </si>
  <si>
    <t>Haltedauer / Okres trzymania [lata]</t>
  </si>
  <si>
    <t>Jahre</t>
  </si>
  <si>
    <t>Exit Cap Rate / Wyjściowy cap rate</t>
  </si>
  <si>
    <t>OBLICZENIA (Calculations)</t>
  </si>
  <si>
    <t>NOI (Nettojahresmiete)</t>
  </si>
  <si>
    <t>Cap Rate</t>
  </si>
  <si>
    <t>Dług (Loan)</t>
  </si>
  <si>
    <t>Kapitał własny (Equity)</t>
  </si>
  <si>
    <t>Rata roczna (PMT)</t>
  </si>
  <si>
    <t>FCF (po obsłudze długu)</t>
  </si>
  <si>
    <t>Cash-on-Cash (CoC)</t>
  </si>
  <si>
    <t>Pozostały dług (koniec)</t>
  </si>
  <si>
    <t>Wartość wyjścia (Exit)</t>
  </si>
  <si>
    <t>Gotówka w roku wyjścia (FCF + Exit – dług)</t>
  </si>
  <si>
    <t>Uwaga / Hinweis:</t>
  </si>
  <si>
    <t>CoC liczone na bazie rocznego FCF po racie PMT i kapitału własnego. IRR/XIRR wyliczane na arkuszu 'CF'. Wartość wyjścia uproszczona: NOI / Exit Cap Rate. Brak indeksacji czynszu – dodaj w scenariuszach na 'StressTest'.</t>
  </si>
  <si>
    <t>Rok</t>
  </si>
  <si>
    <t>Data</t>
  </si>
  <si>
    <t>Cash Flow</t>
  </si>
  <si>
    <t>Opis</t>
  </si>
  <si>
    <t>Korekta w roku wyjścia (Exit - dług)</t>
  </si>
  <si>
    <t>Linki do Kalkulatora</t>
  </si>
  <si>
    <t>Wkład własny (Equity Outflow)</t>
  </si>
  <si>
    <t>NOI:</t>
  </si>
  <si>
    <t>FCF</t>
  </si>
  <si>
    <t>PMT roczny:</t>
  </si>
  <si>
    <t>FCF roczny:</t>
  </si>
  <si>
    <t>Pozostały dług (koniec):</t>
  </si>
  <si>
    <t>Wartość wyjścia:</t>
  </si>
  <si>
    <t>IRR</t>
  </si>
  <si>
    <t>XIRR</t>
  </si>
  <si>
    <t>Stress Test – Scenariusze</t>
  </si>
  <si>
    <t>Scenariusz</t>
  </si>
  <si>
    <t>Miesięczny czynsz</t>
  </si>
  <si>
    <t>Pustostan</t>
  </si>
  <si>
    <t>OPEX p.a.</t>
  </si>
  <si>
    <t>Zinssatz</t>
  </si>
  <si>
    <t>CoC</t>
  </si>
  <si>
    <t>Bazowy</t>
  </si>
  <si>
    <t>Czynsz -10%</t>
  </si>
  <si>
    <t>Pustostan +5 pp</t>
  </si>
  <si>
    <t>Zinssatz +200 bp</t>
  </si>
  <si>
    <t>Wskazówki:</t>
  </si>
  <si>
    <t>- Zmieniaj parametry na arkuszu 'Kalkulator'. Scenariusze aktualizują się automatycznie.</t>
  </si>
  <si>
    <t>- Dodaj własne wiersze scenariuszy, kopiując formuły z wiersza 'Bazowy'.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</si>
</sst>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&quot; €&quot;"/>
  </numFmts>
  <fonts count="6">
    <font>
      <sz val="11.0"/>
      <color theme="1"/>
      <name val="Calibri"/>
      <scheme val="minor"/>
    </font>
    <font>
      <b/>
      <sz val="14.0"/>
      <color theme="1"/>
      <name val="Calibri"/>
      <scheme val="minor"/>
    </font>
    <font>
      <b/>
      <color theme="1"/>
      <name val="Calibri"/>
      <scheme val="minor"/>
    </font>
    <font>
      <sz val="11.0"/>
      <color theme="1"/>
      <name val="Calibri"/>
    </font>
    <font>
      <color theme="1"/>
      <name val="Calibri"/>
      <scheme val="minor"/>
    </font>
    <font>
      <b/>
      <sz val="12.0"/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E2EFDA"/>
        <bgColor rgb="FFE2EFDA"/>
      </patternFill>
    </fill>
    <fill>
      <patternFill patternType="solid">
        <fgColor rgb="FFF2F2F2"/>
        <bgColor rgb="FFF2F2F2"/>
      </patternFill>
    </fill>
  </fills>
  <borders count="2">
    <border/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3" numFmtId="0" xfId="0" applyBorder="1" applyFill="1" applyFont="1"/>
    <xf borderId="1" fillId="2" fontId="3" numFmtId="164" xfId="0" applyBorder="1" applyFont="1" applyNumberFormat="1"/>
    <xf borderId="1" fillId="0" fontId="3" numFmtId="0" xfId="0" applyBorder="1" applyFont="1"/>
    <xf borderId="1" fillId="2" fontId="3" numFmtId="10" xfId="0" applyBorder="1" applyFont="1" applyNumberFormat="1"/>
    <xf borderId="1" fillId="2" fontId="3" numFmtId="1" xfId="0" applyBorder="1" applyFont="1" applyNumberFormat="1"/>
    <xf borderId="1" fillId="3" fontId="3" numFmtId="0" xfId="0" applyBorder="1" applyFill="1" applyFont="1"/>
    <xf borderId="1" fillId="0" fontId="3" numFmtId="164" xfId="0" applyBorder="1" applyFont="1" applyNumberFormat="1"/>
    <xf borderId="1" fillId="0" fontId="3" numFmtId="10" xfId="0" applyBorder="1" applyFont="1" applyNumberFormat="1"/>
    <xf borderId="0" fillId="0" fontId="4" numFmtId="0" xfId="0" applyFont="1"/>
    <xf borderId="1" fillId="4" fontId="2" numFmtId="0" xfId="0" applyAlignment="1" applyBorder="1" applyFill="1" applyFont="1">
      <alignment horizontal="center"/>
    </xf>
    <xf borderId="1" fillId="4" fontId="2" numFmtId="0" xfId="0" applyBorder="1" applyFont="1"/>
    <xf borderId="0" fillId="0" fontId="4" numFmtId="14" xfId="0" applyFont="1" applyNumberFormat="1"/>
    <xf borderId="0" fillId="0" fontId="3" numFmtId="164" xfId="0" applyFont="1" applyNumberFormat="1"/>
    <xf borderId="0" fillId="0" fontId="4" numFmtId="164" xfId="0" applyFont="1" applyNumberFormat="1"/>
    <xf borderId="0" fillId="0" fontId="3" numFmtId="10" xfId="0" applyFont="1" applyNumberFormat="1"/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32.0"/>
    <col customWidth="1" min="2" max="3" width="18.0"/>
    <col customWidth="1" min="4" max="6" width="24.0"/>
    <col customWidth="1" min="7" max="26" width="8.71"/>
  </cols>
  <sheetData>
    <row r="1">
      <c r="A1" s="1" t="s">
        <v>0</v>
      </c>
    </row>
    <row r="3">
      <c r="A3" s="2" t="s">
        <v>1</v>
      </c>
    </row>
    <row r="5">
      <c r="A5" s="3" t="s">
        <v>2</v>
      </c>
      <c r="B5" s="4">
        <v>10000.0</v>
      </c>
      <c r="C5" s="5" t="s">
        <v>3</v>
      </c>
    </row>
    <row r="6">
      <c r="A6" s="3" t="s">
        <v>4</v>
      </c>
      <c r="B6" s="4">
        <v>70.0</v>
      </c>
      <c r="C6" s="5" t="s">
        <v>3</v>
      </c>
    </row>
    <row r="7">
      <c r="A7" s="3" t="s">
        <v>5</v>
      </c>
      <c r="B7" s="6">
        <v>0.05</v>
      </c>
      <c r="C7" s="5" t="s">
        <v>6</v>
      </c>
    </row>
    <row r="8">
      <c r="A8" s="3" t="s">
        <v>7</v>
      </c>
      <c r="B8" s="4">
        <v>120.0</v>
      </c>
      <c r="C8" s="5" t="s">
        <v>3</v>
      </c>
    </row>
    <row r="9">
      <c r="A9" s="3" t="s">
        <v>8</v>
      </c>
      <c r="B9" s="6">
        <v>0.6</v>
      </c>
      <c r="C9" s="5" t="s">
        <v>6</v>
      </c>
    </row>
    <row r="10">
      <c r="A10" s="3" t="s">
        <v>9</v>
      </c>
      <c r="B10" s="6">
        <v>0.045</v>
      </c>
      <c r="C10" s="5" t="s">
        <v>6</v>
      </c>
    </row>
    <row r="11">
      <c r="A11" s="3" t="s">
        <v>10</v>
      </c>
      <c r="B11" s="6">
        <v>0.02</v>
      </c>
      <c r="C11" s="5" t="s">
        <v>6</v>
      </c>
    </row>
    <row r="12">
      <c r="A12" s="3" t="s">
        <v>11</v>
      </c>
      <c r="B12" s="7">
        <v>10.0</v>
      </c>
      <c r="C12" s="5" t="s">
        <v>12</v>
      </c>
    </row>
    <row r="13">
      <c r="A13" s="3" t="s">
        <v>13</v>
      </c>
      <c r="B13" s="6">
        <v>0.07</v>
      </c>
      <c r="C13" s="5" t="s">
        <v>6</v>
      </c>
    </row>
    <row r="16">
      <c r="A16" s="2" t="s">
        <v>14</v>
      </c>
    </row>
    <row r="18">
      <c r="A18" s="8" t="s">
        <v>15</v>
      </c>
      <c r="B18" s="9">
        <f>(B6*12)*(1-B7) - B8</f>
        <v>678</v>
      </c>
    </row>
    <row r="19">
      <c r="A19" s="8" t="s">
        <v>16</v>
      </c>
      <c r="B19" s="10">
        <f>IFERROR(B18/B5,)</f>
        <v>0.0678</v>
      </c>
    </row>
    <row r="20">
      <c r="A20" s="8" t="s">
        <v>17</v>
      </c>
      <c r="B20" s="9">
        <f>B5*B9</f>
        <v>6000</v>
      </c>
    </row>
    <row r="21" ht="15.75" customHeight="1">
      <c r="A21" s="8" t="s">
        <v>18</v>
      </c>
      <c r="B21" s="9">
        <f>B5*(1-B9)</f>
        <v>4000</v>
      </c>
    </row>
    <row r="22" ht="15.75" customHeight="1">
      <c r="A22" s="8" t="s">
        <v>19</v>
      </c>
      <c r="B22" s="9">
        <f>-PMT(B10,B12,B20)</f>
        <v>758.2729305</v>
      </c>
    </row>
    <row r="23" ht="15.75" customHeight="1">
      <c r="A23" s="8" t="s">
        <v>20</v>
      </c>
      <c r="B23" s="9">
        <f>B18-B22</f>
        <v>-80.27293045</v>
      </c>
    </row>
    <row r="24" ht="15.75" customHeight="1">
      <c r="A24" s="8" t="s">
        <v>21</v>
      </c>
      <c r="B24" s="10">
        <f>IFERROR(B23/B21,)</f>
        <v>-0.02006823261</v>
      </c>
    </row>
    <row r="25" ht="15.75" customHeight="1">
      <c r="A25" s="8" t="s">
        <v>22</v>
      </c>
      <c r="B25" s="9">
        <f>FV(B10,B12,-B22,-B20)</f>
        <v>18635.63306</v>
      </c>
    </row>
    <row r="26" ht="15.75" customHeight="1">
      <c r="A26" s="8" t="s">
        <v>23</v>
      </c>
      <c r="B26" s="9">
        <f>IF(B13&gt;0,(B18/B13),)</f>
        <v>9685.714286</v>
      </c>
    </row>
    <row r="27" ht="15.75" customHeight="1">
      <c r="A27" s="8" t="s">
        <v>24</v>
      </c>
      <c r="B27" s="9">
        <f>B23+B26-B25</f>
        <v>-9030.191706</v>
      </c>
    </row>
    <row r="28" ht="15.75" customHeight="1"/>
    <row r="29" ht="15.75" customHeight="1">
      <c r="A29" s="2" t="s">
        <v>25</v>
      </c>
    </row>
    <row r="30" ht="15.75" customHeight="1">
      <c r="A30" s="11" t="s">
        <v>26</v>
      </c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8.0"/>
    <col customWidth="1" min="2" max="2" width="16.0"/>
    <col customWidth="1" min="3" max="3" width="20.0"/>
    <col customWidth="1" min="4" max="5" width="24.0"/>
    <col customWidth="1" min="6" max="26" width="8.71"/>
  </cols>
  <sheetData>
    <row r="1">
      <c r="A1" s="12" t="s">
        <v>27</v>
      </c>
      <c r="B1" s="12" t="s">
        <v>28</v>
      </c>
      <c r="C1" s="12" t="s">
        <v>29</v>
      </c>
      <c r="D1" s="12" t="s">
        <v>30</v>
      </c>
      <c r="E1" s="13" t="s">
        <v>31</v>
      </c>
      <c r="F1" s="2" t="s">
        <v>32</v>
      </c>
    </row>
    <row r="2">
      <c r="A2" s="11">
        <v>0.0</v>
      </c>
      <c r="B2" s="14">
        <f>DATE(YEAR(TODAY()),MONTH(TODAY()),DAY(TODAY()))</f>
        <v>45931</v>
      </c>
      <c r="C2" s="15">
        <f>Kalkulator!B23+E2</f>
        <v>-80.27293045</v>
      </c>
      <c r="D2" s="11" t="s">
        <v>33</v>
      </c>
      <c r="E2" s="11">
        <f>IF(A2=Kalkulator!B12,Kalkulator!B26-Kalkulator!B25,0)</f>
        <v>0</v>
      </c>
      <c r="F2" s="11" t="s">
        <v>34</v>
      </c>
      <c r="G2" s="16">
        <f>Kalkulator!B18</f>
        <v>678</v>
      </c>
    </row>
    <row r="3">
      <c r="A3" s="11">
        <v>1.0</v>
      </c>
      <c r="B3" s="14">
        <f>EDATE(B2,1*12)</f>
        <v>46296</v>
      </c>
      <c r="C3" s="15">
        <f>Kalkulator!B23+E3</f>
        <v>-80.27293045</v>
      </c>
      <c r="D3" s="11" t="s">
        <v>35</v>
      </c>
      <c r="E3" s="11">
        <f>IF(A3=Kalkulator!B12,Kalkulator!B26-Kalkulator!B25,0)</f>
        <v>0</v>
      </c>
      <c r="F3" s="11" t="s">
        <v>36</v>
      </c>
      <c r="G3" s="16">
        <f>Kalkulator!B22</f>
        <v>758.2729305</v>
      </c>
    </row>
    <row r="4">
      <c r="A4" s="11">
        <v>2.0</v>
      </c>
      <c r="B4" s="14">
        <f>EDATE(B2,2*12)</f>
        <v>46661</v>
      </c>
      <c r="C4" s="15">
        <f>Kalkulator!B23+E4</f>
        <v>-80.27293045</v>
      </c>
      <c r="D4" s="11" t="s">
        <v>35</v>
      </c>
      <c r="E4" s="11">
        <f>IF(A4=Kalkulator!B12,Kalkulator!B26-Kalkulator!B25,0)</f>
        <v>0</v>
      </c>
      <c r="F4" s="11" t="s">
        <v>37</v>
      </c>
      <c r="G4" s="16">
        <f>Kalkulator!B23</f>
        <v>-80.27293045</v>
      </c>
    </row>
    <row r="5">
      <c r="A5" s="11">
        <v>3.0</v>
      </c>
      <c r="B5" s="14">
        <f>EDATE(B2,3*12)</f>
        <v>47027</v>
      </c>
      <c r="C5" s="15">
        <f>Kalkulator!B23+E5</f>
        <v>-80.27293045</v>
      </c>
      <c r="D5" s="11" t="s">
        <v>35</v>
      </c>
      <c r="E5" s="11">
        <f>IF(A5=Kalkulator!B12,Kalkulator!B26-Kalkulator!B25,0)</f>
        <v>0</v>
      </c>
      <c r="F5" s="11" t="s">
        <v>38</v>
      </c>
      <c r="G5" s="16">
        <f>Kalkulator!B25</f>
        <v>18635.63306</v>
      </c>
    </row>
    <row r="6">
      <c r="A6" s="11">
        <v>4.0</v>
      </c>
      <c r="B6" s="14">
        <f>EDATE(B2,4*12)</f>
        <v>47392</v>
      </c>
      <c r="C6" s="15">
        <f>Kalkulator!B23+E6</f>
        <v>-80.27293045</v>
      </c>
      <c r="D6" s="11" t="s">
        <v>35</v>
      </c>
      <c r="E6" s="11">
        <f>IF(A6=Kalkulator!B12,Kalkulator!B26-Kalkulator!B25,0)</f>
        <v>0</v>
      </c>
      <c r="F6" s="11" t="s">
        <v>39</v>
      </c>
      <c r="G6" s="16">
        <f>Kalkulator!B26</f>
        <v>9685.714286</v>
      </c>
    </row>
    <row r="7">
      <c r="A7" s="11">
        <v>5.0</v>
      </c>
      <c r="B7" s="14">
        <f>EDATE(B2,5*12)</f>
        <v>47757</v>
      </c>
      <c r="C7" s="15">
        <f>Kalkulator!B23+E7</f>
        <v>-80.27293045</v>
      </c>
      <c r="D7" s="11" t="s">
        <v>35</v>
      </c>
      <c r="E7" s="11">
        <f>IF(A7=Kalkulator!B12,Kalkulator!B26-Kalkulator!B25,0)</f>
        <v>0</v>
      </c>
    </row>
    <row r="8">
      <c r="A8" s="11">
        <v>6.0</v>
      </c>
      <c r="B8" s="14">
        <f>EDATE(B2,6*12)</f>
        <v>48122</v>
      </c>
      <c r="C8" s="15">
        <f>Kalkulator!B23+E8</f>
        <v>-80.27293045</v>
      </c>
      <c r="D8" s="11" t="s">
        <v>35</v>
      </c>
      <c r="E8" s="11">
        <f>IF(A8=Kalkulator!B12,Kalkulator!B26-Kalkulator!B25,0)</f>
        <v>0</v>
      </c>
    </row>
    <row r="9">
      <c r="A9" s="11">
        <v>7.0</v>
      </c>
      <c r="B9" s="14">
        <f>EDATE(B2,7*12)</f>
        <v>48488</v>
      </c>
      <c r="C9" s="15">
        <f>Kalkulator!B23+E9</f>
        <v>-80.27293045</v>
      </c>
      <c r="D9" s="11" t="s">
        <v>35</v>
      </c>
      <c r="E9" s="11">
        <f>IF(A9=Kalkulator!B12,Kalkulator!B26-Kalkulator!B25,0)</f>
        <v>0</v>
      </c>
    </row>
    <row r="10">
      <c r="A10" s="11">
        <v>8.0</v>
      </c>
      <c r="B10" s="14">
        <f>EDATE(B2,8*12)</f>
        <v>48853</v>
      </c>
      <c r="C10" s="15">
        <f>Kalkulator!B23+E10</f>
        <v>-80.27293045</v>
      </c>
      <c r="D10" s="11" t="s">
        <v>35</v>
      </c>
      <c r="E10" s="11">
        <f>IF(A10=Kalkulator!B12,Kalkulator!B26-Kalkulator!B25,0)</f>
        <v>0</v>
      </c>
    </row>
    <row r="11">
      <c r="A11" s="11">
        <v>9.0</v>
      </c>
      <c r="B11" s="14">
        <f>EDATE(B2,9*12)</f>
        <v>49218</v>
      </c>
      <c r="C11" s="15">
        <f>Kalkulator!B23+E11</f>
        <v>-80.27293045</v>
      </c>
      <c r="D11" s="11" t="s">
        <v>35</v>
      </c>
      <c r="E11" s="11">
        <f>IF(A11=Kalkulator!B12,Kalkulator!B26-Kalkulator!B25,0)</f>
        <v>0</v>
      </c>
    </row>
    <row r="12">
      <c r="A12" s="11">
        <v>10.0</v>
      </c>
      <c r="B12" s="14">
        <f>EDATE(B2,10*12)</f>
        <v>49583</v>
      </c>
      <c r="C12" s="15">
        <f>Kalkulator!B23+E12</f>
        <v>-9030.191706</v>
      </c>
      <c r="D12" s="11" t="s">
        <v>35</v>
      </c>
      <c r="E12" s="16">
        <f>IF(A12=Kalkulator!B12,Kalkulator!B26-Kalkulator!B25,0)</f>
        <v>-8949.918775</v>
      </c>
    </row>
    <row r="13">
      <c r="A13" s="11">
        <v>11.0</v>
      </c>
      <c r="B13" s="14">
        <f>EDATE(B2,11*12)</f>
        <v>49949</v>
      </c>
      <c r="C13" s="16">
        <f>Kalkulator!B23</f>
        <v>-80.27293045</v>
      </c>
      <c r="D13" s="11" t="s">
        <v>35</v>
      </c>
    </row>
    <row r="15">
      <c r="A15" s="11" t="s">
        <v>40</v>
      </c>
      <c r="B15" s="17" t="str">
        <f>IFERROR(IRR(C2:C13),"")</f>
        <v/>
      </c>
    </row>
    <row r="16">
      <c r="A16" s="11" t="s">
        <v>41</v>
      </c>
      <c r="B16" s="17" t="str">
        <f>IFERROR(XIRR(C2:C13,B2:B13),"")</f>
        <v/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26.0"/>
    <col customWidth="1" min="2" max="7" width="18.0"/>
    <col customWidth="1" min="8" max="26" width="8.71"/>
  </cols>
  <sheetData>
    <row r="1">
      <c r="A1" s="18" t="s">
        <v>42</v>
      </c>
    </row>
    <row r="3">
      <c r="A3" s="12" t="s">
        <v>43</v>
      </c>
      <c r="B3" s="12" t="s">
        <v>44</v>
      </c>
      <c r="C3" s="12" t="s">
        <v>45</v>
      </c>
      <c r="D3" s="12" t="s">
        <v>46</v>
      </c>
      <c r="E3" s="12" t="s">
        <v>47</v>
      </c>
      <c r="F3" s="12" t="s">
        <v>16</v>
      </c>
      <c r="G3" s="12" t="s">
        <v>48</v>
      </c>
    </row>
    <row r="4">
      <c r="A4" s="11" t="s">
        <v>49</v>
      </c>
      <c r="B4" s="15">
        <f>Kalkulator!B6</f>
        <v>70</v>
      </c>
      <c r="C4" s="17">
        <f>Kalkulator!B7</f>
        <v>0.05</v>
      </c>
      <c r="D4" s="15">
        <f>Kalkulator!B8</f>
        <v>120</v>
      </c>
      <c r="E4" s="17">
        <f>Kalkulator!B10</f>
        <v>0.045</v>
      </c>
      <c r="F4" s="17">
        <f>((B4*12)*(1-C4)-D4)/Kalkulator!B5</f>
        <v>0.0678</v>
      </c>
      <c r="G4" s="17">
        <f>(((B4*12)*(1-C4)-D4) - (-PMT(E4,Kalkulator!B12,Kalkulator!B20))) / Kalkulator!B21</f>
        <v>-0.02006823261</v>
      </c>
    </row>
    <row r="5">
      <c r="A5" s="11" t="s">
        <v>50</v>
      </c>
      <c r="B5" s="15">
        <f>Kalkulator!B6*0.9</f>
        <v>63</v>
      </c>
      <c r="C5" s="17">
        <f>Kalkulator!B7</f>
        <v>0.05</v>
      </c>
      <c r="D5" s="15">
        <f>Kalkulator!B8</f>
        <v>120</v>
      </c>
      <c r="E5" s="17">
        <f>Kalkulator!B10</f>
        <v>0.045</v>
      </c>
      <c r="F5" s="17">
        <f>((B5*12)*(1-C5)-D5)/Kalkulator!B5</f>
        <v>0.05982</v>
      </c>
      <c r="G5" s="17">
        <f>(((B5*12)*(1-C5)-D5) - (-PMT(E5,Kalkulator!B12,Kalkulator!B20))) / Kalkulator!B21</f>
        <v>-0.04001823261</v>
      </c>
    </row>
    <row r="6">
      <c r="A6" s="11" t="s">
        <v>51</v>
      </c>
      <c r="B6" s="15">
        <f>Kalkulator!B6</f>
        <v>70</v>
      </c>
      <c r="C6" s="17">
        <f>Kalkulator!B7+0.05</f>
        <v>0.1</v>
      </c>
      <c r="D6" s="15">
        <f>Kalkulator!B8</f>
        <v>120</v>
      </c>
      <c r="E6" s="17">
        <f>Kalkulator!B10</f>
        <v>0.045</v>
      </c>
      <c r="F6" s="17">
        <f>((B6*12)*(1-C6)-D6)/Kalkulator!B5</f>
        <v>0.0636</v>
      </c>
      <c r="G6" s="17">
        <f>(((B6*12)*(1-C6)-D6) - (-PMT(E6,Kalkulator!B12,Kalkulator!B20))) / Kalkulator!B21</f>
        <v>-0.03056823261</v>
      </c>
    </row>
    <row r="7">
      <c r="A7" s="11" t="s">
        <v>52</v>
      </c>
      <c r="B7" s="15">
        <f>Kalkulator!B6</f>
        <v>70</v>
      </c>
      <c r="C7" s="17">
        <f>Kalkulator!B7</f>
        <v>0.05</v>
      </c>
      <c r="D7" s="15">
        <f>Kalkulator!B8</f>
        <v>120</v>
      </c>
      <c r="E7" s="17">
        <f>Kalkulator!B10+0.02</f>
        <v>0.065</v>
      </c>
      <c r="F7" s="17">
        <f>((B7*12)*(1-C7)-D7)/Kalkulator!B5</f>
        <v>0.0678</v>
      </c>
      <c r="G7" s="17">
        <f>(((B7*12)*(1-C7)-D7) - (-PMT(E7,Kalkulator!B12,Kalkulator!B20))) / Kalkulator!B21</f>
        <v>-0.03915703508</v>
      </c>
    </row>
    <row r="9">
      <c r="A9" s="2" t="s">
        <v>53</v>
      </c>
    </row>
    <row r="10">
      <c r="A10" s="11" t="s">
        <v>54</v>
      </c>
    </row>
    <row r="11">
      <c r="A11" s="11" t="s">
        <v>55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